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255ec28ff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fff32879b7f4661"/>
    <x:sheet xmlns:r="http://schemas.openxmlformats.org/officeDocument/2006/relationships" name="Summary" sheetId="2" r:id="R773a65ce99cc43c7"/>
    <x:sheet xmlns:r="http://schemas.openxmlformats.org/officeDocument/2006/relationships" name="Assumptions" sheetId="3" r:id="Rdc085b0754114081"/>
    <x:sheet xmlns:r="http://schemas.openxmlformats.org/officeDocument/2006/relationships" name="Monthly Model" sheetId="4" r:id="Rc81a65b8fde1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;($#,##0);-"/>
    <x:numFmt numFmtId="201" formatCode="0.0"/>
    <x:numFmt numFmtId="202" formatCode="mmm-yy"/>
    <x:numFmt numFmtId="203" formatCode="$#,##0"/>
    <x:numFmt numFmtId="204" formatCode="#,##0"/>
    <x:numFmt numFmtId="205" formatCode="0.0%"/>
    <x:numFmt numFmtId="206" formatCode="0"/>
  </x:numFmts>
  <x:fonts count="12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18181B"/>
      </x:patternFill>
    </x:fill>
    <x:fill>
      <x:patternFill patternType="solid">
        <x:fgColor rgb="FFFFF7D6"/>
      </x:patternFill>
    </x:fill>
  </x:fills>
  <x:borders count="8">
    <x:border/>
    <x:border>
      <x:bottom style="thin">
        <x:color rgb="FF7C3AE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202" fontId="11" fillId="4" borderId="5" xfId="0" applyNumberFormat="1" applyFont="1" applyFill="1" applyBorder="1" applyAlignment="1">
      <x:alignment vertical="center"/>
    </x:xf>
    <x:xf numFmtId="203" fontId="11" fillId="4" borderId="6" xfId="0" applyNumberFormat="1" applyFont="1" applyFill="1" applyBorder="1" applyAlignment="1">
      <x:alignment vertical="center"/>
    </x:xf>
    <x:xf numFmtId="204" fontId="11" fillId="4" borderId="6" xfId="0" applyNumberFormat="1" applyFont="1" applyFill="1" applyBorder="1" applyAlignment="1">
      <x:alignment vertical="center"/>
    </x:xf>
    <x:xf numFmtId="205" fontId="11" fillId="4" borderId="6" xfId="0" applyNumberFormat="1" applyFont="1" applyFill="1" applyBorder="1" applyAlignment="1">
      <x:alignment vertical="center"/>
    </x:xf>
    <x:xf numFmtId="206" fontId="11" fillId="4" borderId="6" xfId="0" applyNumberFormat="1" applyFont="1" applyFill="1" applyBorder="1" applyAlignment="1">
      <x:alignment vertical="center"/>
    </x:xf>
    <x:xf numFmtId="203" fontId="11" fillId="4" borderId="7" xfId="0" applyNumberFormat="1" applyFont="1" applyFill="1" applyBorder="1" applyAlignment="1">
      <x:alignment vertical="center"/>
    </x:xf>
    <x:xf numFmtId="202" fontId="10" fillId="3" borderId="2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3" xfId="0" applyNumberFormat="1" applyFont="1" applyFill="1" applyBorder="1" applyAlignment="1">
      <x:alignment vertical="center"/>
    </x:xf>
    <x:xf numFmtId="204" fontId="1" fillId="0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09f12e6e44201" /><Relationship Type="http://schemas.openxmlformats.org/officeDocument/2006/relationships/theme" Target="/xl/theme/theme1.xml" Id="R8ede7b1761454e44" /><Relationship Type="http://schemas.openxmlformats.org/officeDocument/2006/relationships/sharedStrings" Target="/xl/sharedStrings.xml" Id="R7e6763010bc845a6" /><Relationship Type="http://schemas.openxmlformats.org/officeDocument/2006/relationships/worksheet" Target="/xl/worksheets/sheet1.xml" Id="R0fff32879b7f4661" /><Relationship Type="http://schemas.openxmlformats.org/officeDocument/2006/relationships/worksheet" Target="/xl/worksheets/sheet2.xml" Id="R773a65ce99cc43c7" /><Relationship Type="http://schemas.openxmlformats.org/officeDocument/2006/relationships/worksheet" Target="/xl/worksheets/sheet3.xml" Id="Rdc085b0754114081" /><Relationship Type="http://schemas.openxmlformats.org/officeDocument/2006/relationships/worksheet" Target="/xl/worksheets/sheet4.xml" Id="Rc81a65b8fde146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08aaa6d6fe941bb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58c9ddf1-8ef0-4c5e-9150-cf1cae26b9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8aaa6d6fe941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e63e56de4774de5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Startup financial model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An editable 18 month operating model for revenue, costs, cash, burn, runway, and fundraising assumptions.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de63e56de4774de5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5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1" t="str">
        <x:v>Fundraising financial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2"/>
      <x:c r="B3" s="12"/>
      <x:c r="C3" s="12"/>
      <x:c r="D3" s="12"/>
      <x:c r="E3" s="12"/>
      <x:c r="F3" s="1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Illustrative assumptions only. Replace every yellow input before using the model.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8" customHeight="1">
      <x:c r="A6" s="17" t="str">
        <x:v>Metric</x:v>
      </x:c>
      <x:c r="B6" s="17" t="str">
        <x:v>Value</x:v>
      </x:c>
      <x:c r="C6" s="17" t="str">
        <x:v>Interpretation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0" t="str">
        <x:v>Opening cash</x:v>
      </x:c>
      <x:c r="B7" s="21" t="n">
        <x:f>Assumptions!B8</x:f>
        <x:v>600000</x:v>
      </x:c>
      <x:c r="C7" s="20" t="str">
        <x:v>Cash available at the start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2" t="str">
        <x:v>Month 1 revenue</x:v>
      </x:c>
      <x:c r="B8" s="23" t="n">
        <x:f>'Monthly Model'!B12</x:f>
        <x:v>60450</x:v>
      </x:c>
      <x:c r="C8" s="22" t="str">
        <x:v>Customers multiplied by monthly revenue per customer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2" t="str">
        <x:v>Month 18 revenue</x:v>
      </x:c>
      <x:c r="B9" s="23" t="n">
        <x:f>'Monthly Model'!S12</x:f>
        <x:v>345155.89324701065</x:v>
      </x:c>
      <x:c r="C9" s="22" t="str">
        <x:v>Revenue at the end of the visible forecast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2" t="str">
        <x:v>Month 1 net burn</x:v>
      </x:c>
      <x:c r="B10" s="23" t="n">
        <x:f>'Monthly Model'!B23</x:f>
        <x:v>83431</x:v>
      </x:c>
      <x:c r="C10" s="22" t="str">
        <x:v>Cash consumed by operations before financing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2" t="str">
        <x:v>Baseline runway (months)</x:v>
      </x:c>
      <x:c r="B11" s="24" t="n">
        <x:f>IF(B10=0,"n.a.",B7/B10)</x:f>
        <x:v>7.191571478227518</x:v>
      </x:c>
      <x:c r="C11" s="22" t="str">
        <x:v>Opening cash divided by current net burn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2" t="str">
        <x:v>Month 18 ending cash</x:v>
      </x:c>
      <x:c r="B12" s="23" t="n">
        <x:f>'Monthly Model'!S22</x:f>
        <x:v>1796163.0772264954</x:v>
      </x:c>
      <x:c r="C12" s="22" t="str">
        <x:v>Cash after forecast operations and financing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2" t="str">
        <x:v>Capital raised in forecast</x:v>
      </x:c>
      <x:c r="B13" s="23" t="n">
        <x:f>Assumptions!B20</x:f>
        <x:v>1500000</x:v>
      </x:c>
      <x:c r="C13" s="22" t="str">
        <x:v>External capital included in the selected month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1" t="str">
        <x:v>Model assumptions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2"/>
      <x:c r="B3" s="12"/>
      <x:c r="C3" s="12"/>
      <x:c r="D3" s="1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Yellow cells are editable. Amounts use USD and monthly timing.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8" customHeight="1">
      <x:c r="A6" s="17" t="str">
        <x:v>Assumption</x:v>
      </x:c>
      <x:c r="B6" s="17" t="str">
        <x:v>Input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Forecast start month</x:v>
      </x:c>
      <x:c r="B7" s="30" t="n">
        <x:v>46296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Opening cash</x:v>
      </x:c>
      <x:c r="B8" s="31" t="n">
        <x:v>600000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Opening customers</x:v>
      </x:c>
      <x:c r="B9" s="32" t="n">
        <x:v>80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New customers in month 1</x:v>
      </x:c>
      <x:c r="B10" s="32" t="n">
        <x:v>15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Monthly growth in new customers</x:v>
      </x:c>
      <x:c r="B11" s="33" t="n">
        <x:v>0.08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Monthly customer churn</x:v>
      </x:c>
      <x:c r="B12" s="33" t="n">
        <x:v>0.025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Monthly revenue per customer</x:v>
      </x:c>
      <x:c r="B13" s="31" t="n">
        <x:v>650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COGS as percent of revenue</x:v>
      </x:c>
      <x:c r="B14" s="33" t="n">
        <x:v>0.18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str">
        <x:v>Payroll in month 1</x:v>
      </x:c>
      <x:c r="B15" s="31" t="n">
        <x:v>95000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str">
        <x:v>Monthly payroll growth</x:v>
      </x:c>
      <x:c r="B16" s="33" t="n">
        <x:v>0.025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str">
        <x:v>Other operating expense in month 1</x:v>
      </x:c>
      <x:c r="B17" s="31" t="n">
        <x:v>38000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 t="str">
        <x:v>Monthly operating expense growth</x:v>
      </x:c>
      <x:c r="B18" s="33" t="n">
        <x:v>0.015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 t="str">
        <x:v>Fundraise received in month number</x:v>
      </x:c>
      <x:c r="B19" s="34" t="n">
        <x:v>6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 t="str">
        <x:v>Fundraise amount</x:v>
      </x:c>
      <x:c r="B20" s="35" t="n">
        <x:v>1500000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1" t="str">
        <x:v>Monthly operating model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2"/>
      <x:c r="U3" s="2"/>
      <x:c r="V3" s="2"/>
      <x:c r="W3" s="2"/>
      <x:c r="X3" s="2"/>
      <x:c r="Y3" s="2"/>
      <x:c r="Z3" s="2"/>
    </x:row>
    <x:row r="4">
      <x:c r="A4" s="13" t="str">
        <x:v>The build links to Assumptions and calculates the 18 month cash path.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8" customHeight="1">
      <x:c r="A6" s="17" t="str">
        <x:v>Metric</x:v>
      </x:c>
      <x:c r="B6" s="36" t="n">
        <x:v>46296</x:v>
      </x:c>
      <x:c r="C6" s="36" t="n">
        <x:v>46327</x:v>
      </x:c>
      <x:c r="D6" s="36" t="n">
        <x:v>46357</x:v>
      </x:c>
      <x:c r="E6" s="36" t="n">
        <x:v>46388</x:v>
      </x:c>
      <x:c r="F6" s="36" t="n">
        <x:v>46419</x:v>
      </x:c>
      <x:c r="G6" s="36" t="n">
        <x:v>46447</x:v>
      </x:c>
      <x:c r="H6" s="36" t="n">
        <x:v>46478</x:v>
      </x:c>
      <x:c r="I6" s="36" t="n">
        <x:v>46508</x:v>
      </x:c>
      <x:c r="J6" s="36" t="n">
        <x:v>46539</x:v>
      </x:c>
      <x:c r="K6" s="36" t="n">
        <x:v>46569</x:v>
      </x:c>
      <x:c r="L6" s="36" t="n">
        <x:v>46600</x:v>
      </x:c>
      <x:c r="M6" s="36" t="n">
        <x:v>46631</x:v>
      </x:c>
      <x:c r="N6" s="36" t="n">
        <x:v>46661</x:v>
      </x:c>
      <x:c r="O6" s="36" t="n">
        <x:v>46692</x:v>
      </x:c>
      <x:c r="P6" s="36" t="n">
        <x:v>46722</x:v>
      </x:c>
      <x:c r="Q6" s="36" t="n">
        <x:v>46753</x:v>
      </x:c>
      <x:c r="R6" s="36" t="n">
        <x:v>46784</x:v>
      </x:c>
      <x:c r="S6" s="36" t="n">
        <x:v>46813</x:v>
      </x:c>
      <x:c r="T6" s="2"/>
      <x:c r="U6" s="2"/>
      <x:c r="V6" s="2"/>
      <x:c r="W6" s="2"/>
      <x:c r="X6" s="2"/>
      <x:c r="Y6" s="2"/>
      <x:c r="Z6" s="2"/>
    </x:row>
    <x:row r="7">
      <x:c r="A7" s="20" t="str">
        <x:v>Beginning customers</x:v>
      </x:c>
      <x:c r="B7" s="38" t="n">
        <x:f>Assumptions!$B$9</x:f>
        <x:v>80</x:v>
      </x:c>
      <x:c r="C7" s="38" t="n">
        <x:f>B10</x:f>
        <x:v>93</x:v>
      </x:c>
      <x:c r="D7" s="38" t="n">
        <x:f>C10</x:f>
        <x:v>106.875</x:v>
      </x:c>
      <x:c r="E7" s="38" t="n">
        <x:f>D10</x:f>
        <x:v>121.69912500000001</x:v>
      </x:c>
      <x:c r="F7" s="38" t="n">
        <x:f>E10</x:f>
        <x:v>137.552326875</x:v>
      </x:c>
      <x:c r="G7" s="38" t="n">
        <x:f>F10</x:f>
        <x:v>154.520853103125</x:v>
      </x:c>
      <x:c r="H7" s="38" t="n">
        <x:f>G10</x:f>
        <x:v>172.69775292754687</x:v>
      </x:c>
      <x:c r="I7" s="38" t="n">
        <x:f>H10</x:f>
        <x:v>192.1834239485182</x:v>
      </x:c>
      <x:c r="J7" s="38" t="n">
        <x:f>I10</x:f>
        <x:v>213.08620238149805</x:v>
      </x:c>
      <x:c r="K7" s="38" t="n">
        <x:f>J10</x:f>
        <x:v>235.52300047618883</x:v>
      </x:c>
      <x:c r="L7" s="38" t="n">
        <x:f>K10</x:f>
        <x:v>259.6199948708506</x:v>
      </x:c>
      <x:c r="M7" s="38" t="n">
        <x:f>L10</x:f>
        <x:v>285.51336995817115</x:v>
      </x:c>
      <x:c r="N7" s="38" t="n">
        <x:f>M10</x:f>
        <x:v>313.35012066503606</x:v>
      </x:c>
      <x:c r="O7" s="38" t="n">
        <x:f>N10</x:f>
        <x:v>343.28891940069485</x:v>
      </x:c>
      <x:c r="P7" s="38" t="n">
        <x:f>O10</x:f>
        <x:v>375.50105230814495</x:v>
      </x:c>
      <x:c r="Q7" s="38" t="n">
        <x:f>P10</x:f>
        <x:v>410.1714303643062</x:v>
      </x:c>
      <x:c r="R7" s="38" t="n">
        <x:f>Q10</x:f>
        <x:v>447.4996813181727</x:v>
      </x:c>
      <x:c r="S7" s="38" t="n">
        <x:f>R10</x:f>
        <x:v>487.7013289352304</x:v>
      </x:c>
      <x:c r="T7" s="2"/>
      <x:c r="U7" s="2"/>
      <x:c r="V7" s="2"/>
      <x:c r="W7" s="2"/>
      <x:c r="X7" s="2"/>
      <x:c r="Y7" s="2"/>
      <x:c r="Z7" s="2"/>
    </x:row>
    <x:row r="8">
      <x:c r="A8" s="22" t="str">
        <x:v>New customers</x:v>
      </x:c>
      <x:c r="B8" s="39" t="n">
        <x:f>Assumptions!$B$10</x:f>
        <x:v>15</x:v>
      </x:c>
      <x:c r="C8" s="39" t="n">
        <x:f>B8*(1+Assumptions!$B$11)</x:f>
        <x:v>16.200000000000003</x:v>
      </x:c>
      <x:c r="D8" s="39" t="n">
        <x:f>C8*(1+Assumptions!$B$11)</x:f>
        <x:v>17.496000000000006</x:v>
      </x:c>
      <x:c r="E8" s="39" t="n">
        <x:f>D8*(1+Assumptions!$B$11)</x:f>
        <x:v>18.895680000000006</x:v>
      </x:c>
      <x:c r="F8" s="39" t="n">
        <x:f>E8*(1+Assumptions!$B$11)</x:f>
        <x:v>20.407334400000007</x:v>
      </x:c>
      <x:c r="G8" s="39" t="n">
        <x:f>F8*(1+Assumptions!$B$11)</x:f>
        <x:v>22.03992115200001</x:v>
      </x:c>
      <x:c r="H8" s="39" t="n">
        <x:f>G8*(1+Assumptions!$B$11)</x:f>
        <x:v>23.80311484416001</x:v>
      </x:c>
      <x:c r="I8" s="39" t="n">
        <x:f>H8*(1+Assumptions!$B$11)</x:f>
        <x:v>25.707364031692812</x:v>
      </x:c>
      <x:c r="J8" s="39" t="n">
        <x:f>I8*(1+Assumptions!$B$11)</x:f>
        <x:v>27.76395315422824</x:v>
      </x:c>
      <x:c r="K8" s="39" t="n">
        <x:f>J8*(1+Assumptions!$B$11)</x:f>
        <x:v>29.985069406566502</x:v>
      </x:c>
      <x:c r="L8" s="39" t="n">
        <x:f>K8*(1+Assumptions!$B$11)</x:f>
        <x:v>32.38387495909183</x:v>
      </x:c>
      <x:c r="M8" s="39" t="n">
        <x:f>L8*(1+Assumptions!$B$11)</x:f>
        <x:v>34.974584955819175</x:v>
      </x:c>
      <x:c r="N8" s="39" t="n">
        <x:f>M8*(1+Assumptions!$B$11)</x:f>
        <x:v>37.77255175228471</x:v>
      </x:c>
      <x:c r="O8" s="39" t="n">
        <x:f>N8*(1+Assumptions!$B$11)</x:f>
        <x:v>40.79435589246749</x:v>
      </x:c>
      <x:c r="P8" s="39" t="n">
        <x:f>O8*(1+Assumptions!$B$11)</x:f>
        <x:v>44.05790436386489</x:v>
      </x:c>
      <x:c r="Q8" s="39" t="n">
        <x:f>P8*(1+Assumptions!$B$11)</x:f>
        <x:v>47.58253671297409</x:v>
      </x:c>
      <x:c r="R8" s="39" t="n">
        <x:f>Q8*(1+Assumptions!$B$11)</x:f>
        <x:v>51.38913965001202</x:v>
      </x:c>
      <x:c r="S8" s="39" t="n">
        <x:f>R8*(1+Assumptions!$B$11)</x:f>
        <x:v>55.500270822012986</x:v>
      </x:c>
      <x:c r="T8" s="2"/>
      <x:c r="U8" s="2"/>
      <x:c r="V8" s="2"/>
      <x:c r="W8" s="2"/>
      <x:c r="X8" s="2"/>
      <x:c r="Y8" s="2"/>
      <x:c r="Z8" s="2"/>
    </x:row>
    <x:row r="9">
      <x:c r="A9" s="22" t="str">
        <x:v>Churned customers</x:v>
      </x:c>
      <x:c r="B9" s="39" t="n">
        <x:f>B7*Assumptions!$B$12</x:f>
        <x:v>2</x:v>
      </x:c>
      <x:c r="C9" s="39" t="n">
        <x:f>C7*Assumptions!$B$12</x:f>
        <x:v>2.325</x:v>
      </x:c>
      <x:c r="D9" s="39" t="n">
        <x:f>D7*Assumptions!$B$12</x:f>
        <x:v>2.671875</x:v>
      </x:c>
      <x:c r="E9" s="39" t="n">
        <x:f>E7*Assumptions!$B$12</x:f>
        <x:v>3.0424781250000006</x:v>
      </x:c>
      <x:c r="F9" s="39" t="n">
        <x:f>F7*Assumptions!$B$12</x:f>
        <x:v>3.4388081718750003</x:v>
      </x:c>
      <x:c r="G9" s="39" t="n">
        <x:f>G7*Assumptions!$B$12</x:f>
        <x:v>3.8630213275781253</x:v>
      </x:c>
      <x:c r="H9" s="39" t="n">
        <x:f>H7*Assumptions!$B$12</x:f>
        <x:v>4.317443823188672</x:v>
      </x:c>
      <x:c r="I9" s="39" t="n">
        <x:f>I7*Assumptions!$B$12</x:f>
        <x:v>4.804585598712955</x:v>
      </x:c>
      <x:c r="J9" s="39" t="n">
        <x:f>J7*Assumptions!$B$12</x:f>
        <x:v>5.327155059537452</x:v>
      </x:c>
      <x:c r="K9" s="39" t="n">
        <x:f>K7*Assumptions!$B$12</x:f>
        <x:v>5.888075011904721</x:v>
      </x:c>
      <x:c r="L9" s="39" t="n">
        <x:f>L7*Assumptions!$B$12</x:f>
        <x:v>6.490499871771265</x:v>
      </x:c>
      <x:c r="M9" s="39" t="n">
        <x:f>M7*Assumptions!$B$12</x:f>
        <x:v>7.137834248954279</x:v>
      </x:c>
      <x:c r="N9" s="39" t="n">
        <x:f>N7*Assumptions!$B$12</x:f>
        <x:v>7.833753016625902</x:v>
      </x:c>
      <x:c r="O9" s="39" t="n">
        <x:f>O7*Assumptions!$B$12</x:f>
        <x:v>8.582222985017372</x:v>
      </x:c>
      <x:c r="P9" s="39" t="n">
        <x:f>P7*Assumptions!$B$12</x:f>
        <x:v>9.387526307703624</x:v>
      </x:c>
      <x:c r="Q9" s="39" t="n">
        <x:f>Q7*Assumptions!$B$12</x:f>
        <x:v>10.254285759107656</x:v>
      </x:c>
      <x:c r="R9" s="39" t="n">
        <x:f>R7*Assumptions!$B$12</x:f>
        <x:v>11.187492032954317</x:v>
      </x:c>
      <x:c r="S9" s="39" t="n">
        <x:f>S7*Assumptions!$B$12</x:f>
        <x:v>12.19253322338076</x:v>
      </x:c>
      <x:c r="T9" s="2"/>
      <x:c r="U9" s="2"/>
      <x:c r="V9" s="2"/>
      <x:c r="W9" s="2"/>
      <x:c r="X9" s="2"/>
      <x:c r="Y9" s="2"/>
      <x:c r="Z9" s="2"/>
    </x:row>
    <x:row r="10">
      <x:c r="A10" s="22" t="str">
        <x:v>Ending customers</x:v>
      </x:c>
      <x:c r="B10" s="39" t="n">
        <x:f>B7+B8-B9</x:f>
        <x:v>93</x:v>
      </x:c>
      <x:c r="C10" s="39" t="n">
        <x:f>C7+C8-C9</x:f>
        <x:v>106.875</x:v>
      </x:c>
      <x:c r="D10" s="39" t="n">
        <x:f>D7+D8-D9</x:f>
        <x:v>121.69912500000001</x:v>
      </x:c>
      <x:c r="E10" s="39" t="n">
        <x:f>E7+E8-E9</x:f>
        <x:v>137.552326875</x:v>
      </x:c>
      <x:c r="F10" s="39" t="n">
        <x:f>F7+F8-F9</x:f>
        <x:v>154.520853103125</x:v>
      </x:c>
      <x:c r="G10" s="39" t="n">
        <x:f>G7+G8-G9</x:f>
        <x:v>172.69775292754687</x:v>
      </x:c>
      <x:c r="H10" s="39" t="n">
        <x:f>H7+H8-H9</x:f>
        <x:v>192.1834239485182</x:v>
      </x:c>
      <x:c r="I10" s="39" t="n">
        <x:f>I7+I8-I9</x:f>
        <x:v>213.08620238149805</x:v>
      </x:c>
      <x:c r="J10" s="39" t="n">
        <x:f>J7+J8-J9</x:f>
        <x:v>235.52300047618883</x:v>
      </x:c>
      <x:c r="K10" s="39" t="n">
        <x:f>K7+K8-K9</x:f>
        <x:v>259.6199948708506</x:v>
      </x:c>
      <x:c r="L10" s="39" t="n">
        <x:f>L7+L8-L9</x:f>
        <x:v>285.51336995817115</x:v>
      </x:c>
      <x:c r="M10" s="39" t="n">
        <x:f>M7+M8-M9</x:f>
        <x:v>313.35012066503606</x:v>
      </x:c>
      <x:c r="N10" s="39" t="n">
        <x:f>N7+N8-N9</x:f>
        <x:v>343.28891940069485</x:v>
      </x:c>
      <x:c r="O10" s="39" t="n">
        <x:f>O7+O8-O9</x:f>
        <x:v>375.50105230814495</x:v>
      </x:c>
      <x:c r="P10" s="39" t="n">
        <x:f>P7+P8-P9</x:f>
        <x:v>410.1714303643062</x:v>
      </x:c>
      <x:c r="Q10" s="39" t="n">
        <x:f>Q7+Q8-Q9</x:f>
        <x:v>447.4996813181727</x:v>
      </x:c>
      <x:c r="R10" s="39" t="n">
        <x:f>R7+R8-R9</x:f>
        <x:v>487.7013289352304</x:v>
      </x:c>
      <x:c r="S10" s="39" t="n">
        <x:f>S7+S8-S9</x:f>
        <x:v>531.0090665338626</x:v>
      </x:c>
      <x:c r="T10" s="2"/>
      <x:c r="U10" s="2"/>
      <x:c r="V10" s="2"/>
      <x:c r="W10" s="2"/>
      <x:c r="X10" s="2"/>
      <x:c r="Y10" s="2"/>
      <x:c r="Z10" s="2"/>
    </x:row>
    <x:row r="11">
      <x:c r="A11" s="22" t="str">
        <x:v>Monthly revenue per customer</x:v>
      </x:c>
      <x:c r="B11" s="23" t="n">
        <x:f>Assumptions!$B$13</x:f>
        <x:v>650</x:v>
      </x:c>
      <x:c r="C11" s="23" t="n">
        <x:f>Assumptions!$B$13</x:f>
        <x:v>650</x:v>
      </x:c>
      <x:c r="D11" s="23" t="n">
        <x:f>Assumptions!$B$13</x:f>
        <x:v>650</x:v>
      </x:c>
      <x:c r="E11" s="23" t="n">
        <x:f>Assumptions!$B$13</x:f>
        <x:v>650</x:v>
      </x:c>
      <x:c r="F11" s="23" t="n">
        <x:f>Assumptions!$B$13</x:f>
        <x:v>650</x:v>
      </x:c>
      <x:c r="G11" s="23" t="n">
        <x:f>Assumptions!$B$13</x:f>
        <x:v>650</x:v>
      </x:c>
      <x:c r="H11" s="23" t="n">
        <x:f>Assumptions!$B$13</x:f>
        <x:v>650</x:v>
      </x:c>
      <x:c r="I11" s="23" t="n">
        <x:f>Assumptions!$B$13</x:f>
        <x:v>650</x:v>
      </x:c>
      <x:c r="J11" s="23" t="n">
        <x:f>Assumptions!$B$13</x:f>
        <x:v>650</x:v>
      </x:c>
      <x:c r="K11" s="23" t="n">
        <x:f>Assumptions!$B$13</x:f>
        <x:v>650</x:v>
      </x:c>
      <x:c r="L11" s="23" t="n">
        <x:f>Assumptions!$B$13</x:f>
        <x:v>650</x:v>
      </x:c>
      <x:c r="M11" s="23" t="n">
        <x:f>Assumptions!$B$13</x:f>
        <x:v>650</x:v>
      </x:c>
      <x:c r="N11" s="23" t="n">
        <x:f>Assumptions!$B$13</x:f>
        <x:v>650</x:v>
      </x:c>
      <x:c r="O11" s="23" t="n">
        <x:f>Assumptions!$B$13</x:f>
        <x:v>650</x:v>
      </x:c>
      <x:c r="P11" s="23" t="n">
        <x:f>Assumptions!$B$13</x:f>
        <x:v>650</x:v>
      </x:c>
      <x:c r="Q11" s="23" t="n">
        <x:f>Assumptions!$B$13</x:f>
        <x:v>650</x:v>
      </x:c>
      <x:c r="R11" s="23" t="n">
        <x:f>Assumptions!$B$13</x:f>
        <x:v>650</x:v>
      </x:c>
      <x:c r="S11" s="23" t="n">
        <x:f>Assumptions!$B$13</x:f>
        <x:v>650</x:v>
      </x:c>
      <x:c r="T11" s="2"/>
      <x:c r="U11" s="2"/>
      <x:c r="V11" s="2"/>
      <x:c r="W11" s="2"/>
      <x:c r="X11" s="2"/>
      <x:c r="Y11" s="2"/>
      <x:c r="Z11" s="2"/>
    </x:row>
    <x:row r="12">
      <x:c r="A12" s="22" t="str">
        <x:v>Revenue</x:v>
      </x:c>
      <x:c r="B12" s="23" t="n">
        <x:f>B10*B11</x:f>
        <x:v>60450</x:v>
      </x:c>
      <x:c r="C12" s="23" t="n">
        <x:f>C10*C11</x:f>
        <x:v>69468.75</x:v>
      </x:c>
      <x:c r="D12" s="23" t="n">
        <x:f>D10*D11</x:f>
        <x:v>79104.43125000001</x:v>
      </x:c>
      <x:c r="E12" s="23" t="n">
        <x:f>E10*E11</x:f>
        <x:v>89409.01246875</x:v>
      </x:c>
      <x:c r="F12" s="23" t="n">
        <x:f>F10*F11</x:f>
        <x:v>100438.55451703125</x:v>
      </x:c>
      <x:c r="G12" s="23" t="n">
        <x:f>G10*G11</x:f>
        <x:v>112253.53940290547</x:v>
      </x:c>
      <x:c r="H12" s="23" t="n">
        <x:f>H10*H11</x:f>
        <x:v>124919.22556653683</x:v>
      </x:c>
      <x:c r="I12" s="23" t="n">
        <x:f>I10*I11</x:f>
        <x:v>138506.03154797375</x:v>
      </x:c>
      <x:c r="J12" s="23" t="n">
        <x:f>J10*J11</x:f>
        <x:v>153089.95030952274</x:v>
      </x:c>
      <x:c r="K12" s="23" t="n">
        <x:f>K10*K11</x:f>
        <x:v>168752.99666605287</x:v>
      </x:c>
      <x:c r="L12" s="23" t="n">
        <x:f>L10*L11</x:f>
        <x:v>185583.69047281126</x:v>
      </x:c>
      <x:c r="M12" s="23" t="n">
        <x:f>M10*M11</x:f>
        <x:v>203677.57843227344</x:v>
      </x:c>
      <x:c r="N12" s="23" t="n">
        <x:f>N10*N11</x:f>
        <x:v>223137.79761045164</x:v>
      </x:c>
      <x:c r="O12" s="23" t="n">
        <x:f>O10*O11</x:f>
        <x:v>244075.68400029422</x:v>
      </x:c>
      <x:c r="P12" s="23" t="n">
        <x:f>P10*P11</x:f>
        <x:v>266611.42973679904</x:v>
      </x:c>
      <x:c r="Q12" s="23" t="n">
        <x:f>Q10*Q11</x:f>
        <x:v>290874.79285681224</x:v>
      </x:c>
      <x:c r="R12" s="23" t="n">
        <x:f>R10*R11</x:f>
        <x:v>317005.86380789976</x:v>
      </x:c>
      <x:c r="S12" s="23" t="n">
        <x:f>S10*S11</x:f>
        <x:v>345155.89324701065</x:v>
      </x:c>
      <x:c r="T12" s="2"/>
      <x:c r="U12" s="2"/>
      <x:c r="V12" s="2"/>
      <x:c r="W12" s="2"/>
      <x:c r="X12" s="2"/>
      <x:c r="Y12" s="2"/>
      <x:c r="Z12" s="2"/>
    </x:row>
    <x:row r="13">
      <x:c r="A13" s="22" t="str">
        <x:v>COGS</x:v>
      </x:c>
      <x:c r="B13" s="23" t="n">
        <x:f>B12*Assumptions!$B$14</x:f>
        <x:v>10881</x:v>
      </x:c>
      <x:c r="C13" s="23" t="n">
        <x:f>C12*Assumptions!$B$14</x:f>
        <x:v>12504.375</x:v>
      </x:c>
      <x:c r="D13" s="23" t="n">
        <x:f>D12*Assumptions!$B$14</x:f>
        <x:v>14238.797625000001</x:v>
      </x:c>
      <x:c r="E13" s="23" t="n">
        <x:f>E12*Assumptions!$B$14</x:f>
        <x:v>16093.622244375001</x:v>
      </x:c>
      <x:c r="F13" s="23" t="n">
        <x:f>F12*Assumptions!$B$14</x:f>
        <x:v>18078.939813065626</x:v>
      </x:c>
      <x:c r="G13" s="23" t="n">
        <x:f>G12*Assumptions!$B$14</x:f>
        <x:v>20205.637092522986</x:v>
      </x:c>
      <x:c r="H13" s="23" t="n">
        <x:f>H12*Assumptions!$B$14</x:f>
        <x:v>22485.46060197663</x:v>
      </x:c>
      <x:c r="I13" s="23" t="n">
        <x:f>I12*Assumptions!$B$14</x:f>
        <x:v>24931.085678635274</x:v>
      </x:c>
      <x:c r="J13" s="23" t="n">
        <x:f>J12*Assumptions!$B$14</x:f>
        <x:v>27556.19105571409</x:v>
      </x:c>
      <x:c r="K13" s="23" t="n">
        <x:f>K12*Assumptions!$B$14</x:f>
        <x:v>30375.539399889516</x:v>
      </x:c>
      <x:c r="L13" s="23" t="n">
        <x:f>L12*Assumptions!$B$14</x:f>
        <x:v>33405.064285106026</x:v>
      </x:c>
      <x:c r="M13" s="23" t="n">
        <x:f>M12*Assumptions!$B$14</x:f>
        <x:v>36661.96411780922</x:v>
      </x:c>
      <x:c r="N13" s="23" t="n">
        <x:f>N12*Assumptions!$B$14</x:f>
        <x:v>40164.8035698813</x:v>
      </x:c>
      <x:c r="O13" s="23" t="n">
        <x:f>O12*Assumptions!$B$14</x:f>
        <x:v>43933.62312005296</x:v>
      </x:c>
      <x:c r="P13" s="23" t="n">
        <x:f>P12*Assumptions!$B$14</x:f>
        <x:v>47990.05735262382</x:v>
      </x:c>
      <x:c r="Q13" s="23" t="n">
        <x:f>Q12*Assumptions!$B$14</x:f>
        <x:v>52357.4627142262</x:v>
      </x:c>
      <x:c r="R13" s="23" t="n">
        <x:f>R12*Assumptions!$B$14</x:f>
        <x:v>57061.05548542195</x:v>
      </x:c>
      <x:c r="S13" s="23" t="n">
        <x:f>S12*Assumptions!$B$14</x:f>
        <x:v>62128.060784461915</x:v>
      </x:c>
      <x:c r="T13" s="2"/>
      <x:c r="U13" s="2"/>
      <x:c r="V13" s="2"/>
      <x:c r="W13" s="2"/>
      <x:c r="X13" s="2"/>
      <x:c r="Y13" s="2"/>
      <x:c r="Z13" s="2"/>
    </x:row>
    <x:row r="14">
      <x:c r="A14" s="22" t="str">
        <x:v>Gross profit</x:v>
      </x:c>
      <x:c r="B14" s="23" t="n">
        <x:f>B12-B13</x:f>
        <x:v>49569</x:v>
      </x:c>
      <x:c r="C14" s="23" t="n">
        <x:f>C12-C13</x:f>
        <x:v>56964.375</x:v>
      </x:c>
      <x:c r="D14" s="23" t="n">
        <x:f>D12-D13</x:f>
        <x:v>64865.63362500001</x:v>
      </x:c>
      <x:c r="E14" s="23" t="n">
        <x:f>E12-E13</x:f>
        <x:v>73315.390224375</x:v>
      </x:c>
      <x:c r="F14" s="23" t="n">
        <x:f>F12-F13</x:f>
        <x:v>82359.61470396564</x:v>
      </x:c>
      <x:c r="G14" s="23" t="n">
        <x:f>G12-G13</x:f>
        <x:v>92047.90231038249</x:v>
      </x:c>
      <x:c r="H14" s="23" t="n">
        <x:f>H12-H13</x:f>
        <x:v>102433.76496456019</x:v>
      </x:c>
      <x:c r="I14" s="23" t="n">
        <x:f>I12-I13</x:f>
        <x:v>113574.94586933847</x:v>
      </x:c>
      <x:c r="J14" s="23" t="n">
        <x:f>J12-J13</x:f>
        <x:v>125533.75925380865</x:v>
      </x:c>
      <x:c r="K14" s="23" t="n">
        <x:f>K12-K13</x:f>
        <x:v>138377.45726616337</x:v>
      </x:c>
      <x:c r="L14" s="23" t="n">
        <x:f>L12-L13</x:f>
        <x:v>152178.62618770523</x:v>
      </x:c>
      <x:c r="M14" s="23" t="n">
        <x:f>M12-M13</x:f>
        <x:v>167015.6143144642</x:v>
      </x:c>
      <x:c r="N14" s="23" t="n">
        <x:f>N12-N13</x:f>
        <x:v>182972.99404057034</x:v>
      </x:c>
      <x:c r="O14" s="23" t="n">
        <x:f>O12-O13</x:f>
        <x:v>200142.06088024128</x:v>
      </x:c>
      <x:c r="P14" s="23" t="n">
        <x:f>P12-P13</x:f>
        <x:v>218621.37238417522</x:v>
      </x:c>
      <x:c r="Q14" s="23" t="n">
        <x:f>Q12-Q13</x:f>
        <x:v>238517.33014258603</x:v>
      </x:c>
      <x:c r="R14" s="23" t="n">
        <x:f>R12-R13</x:f>
        <x:v>259944.8083224778</x:v>
      </x:c>
      <x:c r="S14" s="23" t="n">
        <x:f>S12-S13</x:f>
        <x:v>283027.83246254874</x:v>
      </x:c>
      <x:c r="T14" s="2"/>
      <x:c r="U14" s="2"/>
      <x:c r="V14" s="2"/>
      <x:c r="W14" s="2"/>
      <x:c r="X14" s="2"/>
      <x:c r="Y14" s="2"/>
      <x:c r="Z14" s="2"/>
    </x:row>
    <x:row r="15">
      <x:c r="A15" s="22" t="str">
        <x:v>Payroll</x:v>
      </x:c>
      <x:c r="B15" s="23" t="n">
        <x:f>Assumptions!$B$15</x:f>
        <x:v>95000</x:v>
      </x:c>
      <x:c r="C15" s="23" t="n">
        <x:f>B15*(1+Assumptions!$B$16)</x:f>
        <x:v>97374.99999999999</x:v>
      </x:c>
      <x:c r="D15" s="23" t="n">
        <x:f>C15*(1+Assumptions!$B$16)</x:f>
        <x:v>99809.37499999997</x:v>
      </x:c>
      <x:c r="E15" s="23" t="n">
        <x:f>D15*(1+Assumptions!$B$16)</x:f>
        <x:v>102304.60937499996</x:v>
      </x:c>
      <x:c r="F15" s="23" t="n">
        <x:f>E15*(1+Assumptions!$B$16)</x:f>
        <x:v>104862.22460937494</x:v>
      </x:c>
      <x:c r="G15" s="23" t="n">
        <x:f>F15*(1+Assumptions!$B$16)</x:f>
        <x:v>107483.7802246093</x:v>
      </x:c>
      <x:c r="H15" s="23" t="n">
        <x:f>G15*(1+Assumptions!$B$16)</x:f>
        <x:v>110170.87473022453</x:v>
      </x:c>
      <x:c r="I15" s="23" t="n">
        <x:f>H15*(1+Assumptions!$B$16)</x:f>
        <x:v>112925.14659848013</x:v>
      </x:c>
      <x:c r="J15" s="23" t="n">
        <x:f>I15*(1+Assumptions!$B$16)</x:f>
        <x:v>115748.27526344212</x:v>
      </x:c>
      <x:c r="K15" s="23" t="n">
        <x:f>J15*(1+Assumptions!$B$16)</x:f>
        <x:v>118641.98214502816</x:v>
      </x:c>
      <x:c r="L15" s="23" t="n">
        <x:f>K15*(1+Assumptions!$B$16)</x:f>
        <x:v>121608.03169865385</x:v>
      </x:c>
      <x:c r="M15" s="23" t="n">
        <x:f>L15*(1+Assumptions!$B$16)</x:f>
        <x:v>124648.23249112019</x:v>
      </x:c>
      <x:c r="N15" s="23" t="n">
        <x:f>M15*(1+Assumptions!$B$16)</x:f>
        <x:v>127764.43830339819</x:v>
      </x:c>
      <x:c r="O15" s="23" t="n">
        <x:f>N15*(1+Assumptions!$B$16)</x:f>
        <x:v>130958.54926098313</x:v>
      </x:c>
      <x:c r="P15" s="23" t="n">
        <x:f>O15*(1+Assumptions!$B$16)</x:f>
        <x:v>134232.5129925077</x:v>
      </x:c>
      <x:c r="Q15" s="23" t="n">
        <x:f>P15*(1+Assumptions!$B$16)</x:f>
        <x:v>137588.32581732038</x:v>
      </x:c>
      <x:c r="R15" s="23" t="n">
        <x:f>Q15*(1+Assumptions!$B$16)</x:f>
        <x:v>141028.03396275337</x:v>
      </x:c>
      <x:c r="S15" s="23" t="n">
        <x:f>R15*(1+Assumptions!$B$16)</x:f>
        <x:v>144553.73481182219</x:v>
      </x:c>
      <x:c r="T15" s="2"/>
      <x:c r="U15" s="2"/>
      <x:c r="V15" s="2"/>
      <x:c r="W15" s="2"/>
      <x:c r="X15" s="2"/>
      <x:c r="Y15" s="2"/>
      <x:c r="Z15" s="2"/>
    </x:row>
    <x:row r="16">
      <x:c r="A16" s="22" t="str">
        <x:v>Other operating expense</x:v>
      </x:c>
      <x:c r="B16" s="23" t="n">
        <x:f>Assumptions!$B$17</x:f>
        <x:v>38000</x:v>
      </x:c>
      <x:c r="C16" s="23" t="n">
        <x:f>B16*(1+Assumptions!$B$18)</x:f>
        <x:v>38569.99999999999</x:v>
      </x:c>
      <x:c r="D16" s="23" t="n">
        <x:f>C16*(1+Assumptions!$B$18)</x:f>
        <x:v>39148.54999999999</x:v>
      </x:c>
      <x:c r="E16" s="23" t="n">
        <x:f>D16*(1+Assumptions!$B$18)</x:f>
        <x:v>39735.77824999998</x:v>
      </x:c>
      <x:c r="F16" s="23" t="n">
        <x:f>E16*(1+Assumptions!$B$18)</x:f>
        <x:v>40331.814923749975</x:v>
      </x:c>
      <x:c r="G16" s="23" t="n">
        <x:f>F16*(1+Assumptions!$B$18)</x:f>
        <x:v>40936.79214760622</x:v>
      </x:c>
      <x:c r="H16" s="23" t="n">
        <x:f>G16*(1+Assumptions!$B$18)</x:f>
        <x:v>41550.844029820306</x:v>
      </x:c>
      <x:c r="I16" s="23" t="n">
        <x:f>H16*(1+Assumptions!$B$18)</x:f>
        <x:v>42174.1066902676</x:v>
      </x:c>
      <x:c r="J16" s="23" t="n">
        <x:f>I16*(1+Assumptions!$B$18)</x:f>
        <x:v>42806.71829062161</x:v>
      </x:c>
      <x:c r="K16" s="23" t="n">
        <x:f>J16*(1+Assumptions!$B$18)</x:f>
        <x:v>43448.81906498093</x:v>
      </x:c>
      <x:c r="L16" s="23" t="n">
        <x:f>K16*(1+Assumptions!$B$18)</x:f>
        <x:v>44100.55135095564</x:v>
      </x:c>
      <x:c r="M16" s="23" t="n">
        <x:f>L16*(1+Assumptions!$B$18)</x:f>
        <x:v>44762.05962121997</x:v>
      </x:c>
      <x:c r="N16" s="23" t="n">
        <x:f>M16*(1+Assumptions!$B$18)</x:f>
        <x:v>45433.490515538266</x:v>
      </x:c>
      <x:c r="O16" s="23" t="n">
        <x:f>N16*(1+Assumptions!$B$18)</x:f>
        <x:v>46114.99287327134</x:v>
      </x:c>
      <x:c r="P16" s="23" t="n">
        <x:f>O16*(1+Assumptions!$B$18)</x:f>
        <x:v>46806.717766370406</x:v>
      </x:c>
      <x:c r="Q16" s="23" t="n">
        <x:f>P16*(1+Assumptions!$B$18)</x:f>
        <x:v>47508.81853286596</x:v>
      </x:c>
      <x:c r="R16" s="23" t="n">
        <x:f>Q16*(1+Assumptions!$B$18)</x:f>
        <x:v>48221.45081085894</x:v>
      </x:c>
      <x:c r="S16" s="23" t="n">
        <x:f>R16*(1+Assumptions!$B$18)</x:f>
        <x:v>48944.77257302182</x:v>
      </x:c>
      <x:c r="T16" s="2"/>
      <x:c r="U16" s="2"/>
      <x:c r="V16" s="2"/>
      <x:c r="W16" s="2"/>
      <x:c r="X16" s="2"/>
      <x:c r="Y16" s="2"/>
      <x:c r="Z16" s="2"/>
    </x:row>
    <x:row r="17">
      <x:c r="A17" s="22" t="str">
        <x:v>Total operating expense</x:v>
      </x:c>
      <x:c r="B17" s="23" t="n">
        <x:f>B15+B16</x:f>
        <x:v>133000</x:v>
      </x:c>
      <x:c r="C17" s="23" t="n">
        <x:f>C15+C16</x:f>
        <x:v>135944.99999999997</x:v>
      </x:c>
      <x:c r="D17" s="23" t="n">
        <x:f>D15+D16</x:f>
        <x:v>138957.92499999996</x:v>
      </x:c>
      <x:c r="E17" s="23" t="n">
        <x:f>E15+E16</x:f>
        <x:v>142040.38762499994</x:v>
      </x:c>
      <x:c r="F17" s="23" t="n">
        <x:f>F15+F16</x:f>
        <x:v>145194.03953312492</x:v>
      </x:c>
      <x:c r="G17" s="23" t="n">
        <x:f>G15+G16</x:f>
        <x:v>148420.5723722155</x:v>
      </x:c>
      <x:c r="H17" s="23" t="n">
        <x:f>H15+H16</x:f>
        <x:v>151721.71876004484</x:v>
      </x:c>
      <x:c r="I17" s="23" t="n">
        <x:f>I15+I16</x:f>
        <x:v>155099.25328874774</x:v>
      </x:c>
      <x:c r="J17" s="23" t="n">
        <x:f>J15+J16</x:f>
        <x:v>158554.99355406372</x:v>
      </x:c>
      <x:c r="K17" s="23" t="n">
        <x:f>K15+K16</x:f>
        <x:v>162090.8012100091</x:v>
      </x:c>
      <x:c r="L17" s="23" t="n">
        <x:f>L15+L16</x:f>
        <x:v>165708.5830496095</x:v>
      </x:c>
      <x:c r="M17" s="23" t="n">
        <x:f>M15+M16</x:f>
        <x:v>169410.29211234016</x:v>
      </x:c>
      <x:c r="N17" s="23" t="n">
        <x:f>N15+N16</x:f>
        <x:v>173197.92881893646</x:v>
      </x:c>
      <x:c r="O17" s="23" t="n">
        <x:f>O15+O16</x:f>
        <x:v>177073.54213425447</x:v>
      </x:c>
      <x:c r="P17" s="23" t="n">
        <x:f>P15+P16</x:f>
        <x:v>181039.2307588781</x:v>
      </x:c>
      <x:c r="Q17" s="23" t="n">
        <x:f>Q15+Q16</x:f>
        <x:v>185097.14435018634</x:v>
      </x:c>
      <x:c r="R17" s="23" t="n">
        <x:f>R15+R16</x:f>
        <x:v>189249.48477361232</x:v>
      </x:c>
      <x:c r="S17" s="23" t="n">
        <x:f>S15+S16</x:f>
        <x:v>193498.507384844</x:v>
      </x:c>
      <x:c r="T17" s="2"/>
      <x:c r="U17" s="2"/>
      <x:c r="V17" s="2"/>
      <x:c r="W17" s="2"/>
      <x:c r="X17" s="2"/>
      <x:c r="Y17" s="2"/>
      <x:c r="Z17" s="2"/>
    </x:row>
    <x:row r="18">
      <x:c r="A18" s="22" t="str">
        <x:v>Operating cash flow</x:v>
      </x:c>
      <x:c r="B18" s="23" t="n">
        <x:f>B14-B17</x:f>
        <x:v>-83431</x:v>
      </x:c>
      <x:c r="C18" s="23" t="n">
        <x:f>C14-C17</x:f>
        <x:v>-78980.62499999997</x:v>
      </x:c>
      <x:c r="D18" s="23" t="n">
        <x:f>D14-D17</x:f>
        <x:v>-74092.29137499994</x:v>
      </x:c>
      <x:c r="E18" s="23" t="n">
        <x:f>E14-E17</x:f>
        <x:v>-68724.99740062494</x:v>
      </x:c>
      <x:c r="F18" s="23" t="n">
        <x:f>F14-F17</x:f>
        <x:v>-62834.42482915928</x:v>
      </x:c>
      <x:c r="G18" s="23" t="n">
        <x:f>G14-G17</x:f>
        <x:v>-56372.67006183302</x:v>
      </x:c>
      <x:c r="H18" s="23" t="n">
        <x:f>H14-H17</x:f>
        <x:v>-49287.953795484646</x:v>
      </x:c>
      <x:c r="I18" s="23" t="n">
        <x:f>I14-I17</x:f>
        <x:v>-41524.30741940928</x:v>
      </x:c>
      <x:c r="J18" s="23" t="n">
        <x:f>J14-J17</x:f>
        <x:v>-33021.23430025508</x:v>
      </x:c>
      <x:c r="K18" s="23" t="n">
        <x:f>K14-K17</x:f>
        <x:v>-23713.343943845714</x:v>
      </x:c>
      <x:c r="L18" s="23" t="n">
        <x:f>L14-L17</x:f>
        <x:v>-13529.95686190427</x:v>
      </x:c>
      <x:c r="M18" s="23" t="n">
        <x:f>M14-M17</x:f>
        <x:v>-2394.677797875949</x:v>
      </x:c>
      <x:c r="N18" s="23" t="n">
        <x:f>N14-N17</x:f>
        <x:v>9775.065221633879</x:v>
      </x:c>
      <x:c r="O18" s="23" t="n">
        <x:f>O14-O17</x:f>
        <x:v>23068.518745986803</x:v>
      </x:c>
      <x:c r="P18" s="23" t="n">
        <x:f>P14-P17</x:f>
        <x:v>37582.14162529711</x:v>
      </x:c>
      <x:c r="Q18" s="23" t="n">
        <x:f>Q14-Q17</x:f>
        <x:v>53420.18579239969</x:v>
      </x:c>
      <x:c r="R18" s="23" t="n">
        <x:f>R14-R17</x:f>
        <x:v>70695.32354886548</x:v>
      </x:c>
      <x:c r="S18" s="23" t="n">
        <x:f>S14-S17</x:f>
        <x:v>89529.32507770474</x:v>
      </x:c>
      <x:c r="T18" s="2"/>
      <x:c r="U18" s="2"/>
      <x:c r="V18" s="2"/>
      <x:c r="W18" s="2"/>
      <x:c r="X18" s="2"/>
      <x:c r="Y18" s="2"/>
      <x:c r="Z18" s="2"/>
    </x:row>
    <x:row r="19">
      <x:c r="A19" s="22" t="str">
        <x:v>Fundraise</x:v>
      </x:c>
      <x:c r="B19" s="23" t="n">
        <x:f>IF(1=Assumptions!$B$19,Assumptions!$B$20,0)</x:f>
        <x:v>0</x:v>
      </x:c>
      <x:c r="C19" s="23" t="n">
        <x:f>IF(2=Assumptions!$B$19,Assumptions!$B$20,0)</x:f>
        <x:v>0</x:v>
      </x:c>
      <x:c r="D19" s="23" t="n">
        <x:f>IF(3=Assumptions!$B$19,Assumptions!$B$20,0)</x:f>
        <x:v>0</x:v>
      </x:c>
      <x:c r="E19" s="23" t="n">
        <x:f>IF(4=Assumptions!$B$19,Assumptions!$B$20,0)</x:f>
        <x:v>0</x:v>
      </x:c>
      <x:c r="F19" s="23" t="n">
        <x:f>IF(5=Assumptions!$B$19,Assumptions!$B$20,0)</x:f>
        <x:v>0</x:v>
      </x:c>
      <x:c r="G19" s="23" t="n">
        <x:f>IF(6=Assumptions!$B$19,Assumptions!$B$20,0)</x:f>
        <x:v>1500000</x:v>
      </x:c>
      <x:c r="H19" s="23" t="n">
        <x:f>IF(7=Assumptions!$B$19,Assumptions!$B$20,0)</x:f>
        <x:v>0</x:v>
      </x:c>
      <x:c r="I19" s="23" t="n">
        <x:f>IF(8=Assumptions!$B$19,Assumptions!$B$20,0)</x:f>
        <x:v>0</x:v>
      </x:c>
      <x:c r="J19" s="23" t="n">
        <x:f>IF(9=Assumptions!$B$19,Assumptions!$B$20,0)</x:f>
        <x:v>0</x:v>
      </x:c>
      <x:c r="K19" s="23" t="n">
        <x:f>IF(10=Assumptions!$B$19,Assumptions!$B$20,0)</x:f>
        <x:v>0</x:v>
      </x:c>
      <x:c r="L19" s="23" t="n">
        <x:f>IF(11=Assumptions!$B$19,Assumptions!$B$20,0)</x:f>
        <x:v>0</x:v>
      </x:c>
      <x:c r="M19" s="23" t="n">
        <x:f>IF(12=Assumptions!$B$19,Assumptions!$B$20,0)</x:f>
        <x:v>0</x:v>
      </x:c>
      <x:c r="N19" s="23" t="n">
        <x:f>IF(13=Assumptions!$B$19,Assumptions!$B$20,0)</x:f>
        <x:v>0</x:v>
      </x:c>
      <x:c r="O19" s="23" t="n">
        <x:f>IF(14=Assumptions!$B$19,Assumptions!$B$20,0)</x:f>
        <x:v>0</x:v>
      </x:c>
      <x:c r="P19" s="23" t="n">
        <x:f>IF(15=Assumptions!$B$19,Assumptions!$B$20,0)</x:f>
        <x:v>0</x:v>
      </x:c>
      <x:c r="Q19" s="23" t="n">
        <x:f>IF(16=Assumptions!$B$19,Assumptions!$B$20,0)</x:f>
        <x:v>0</x:v>
      </x:c>
      <x:c r="R19" s="23" t="n">
        <x:f>IF(17=Assumptions!$B$19,Assumptions!$B$20,0)</x:f>
        <x:v>0</x:v>
      </x:c>
      <x:c r="S19" s="23" t="n">
        <x:f>IF(18=Assumptions!$B$19,Assumptions!$B$20,0)</x:f>
        <x:v>0</x:v>
      </x:c>
      <x:c r="T19" s="2"/>
      <x:c r="U19" s="2"/>
      <x:c r="V19" s="2"/>
      <x:c r="W19" s="2"/>
      <x:c r="X19" s="2"/>
      <x:c r="Y19" s="2"/>
      <x:c r="Z19" s="2"/>
    </x:row>
    <x:row r="20">
      <x:c r="A20" s="22" t="str">
        <x:v>Net cash flow</x:v>
      </x:c>
      <x:c r="B20" s="23" t="n">
        <x:f>B18+B19</x:f>
        <x:v>-83431</x:v>
      </x:c>
      <x:c r="C20" s="23" t="n">
        <x:f>C18+C19</x:f>
        <x:v>-78980.62499999997</x:v>
      </x:c>
      <x:c r="D20" s="23" t="n">
        <x:f>D18+D19</x:f>
        <x:v>-74092.29137499994</x:v>
      </x:c>
      <x:c r="E20" s="23" t="n">
        <x:f>E18+E19</x:f>
        <x:v>-68724.99740062494</x:v>
      </x:c>
      <x:c r="F20" s="23" t="n">
        <x:f>F18+F19</x:f>
        <x:v>-62834.42482915928</x:v>
      </x:c>
      <x:c r="G20" s="23" t="n">
        <x:f>G18+G19</x:f>
        <x:v>1443627.329938167</x:v>
      </x:c>
      <x:c r="H20" s="23" t="n">
        <x:f>H18+H19</x:f>
        <x:v>-49287.953795484646</x:v>
      </x:c>
      <x:c r="I20" s="23" t="n">
        <x:f>I18+I19</x:f>
        <x:v>-41524.30741940928</x:v>
      </x:c>
      <x:c r="J20" s="23" t="n">
        <x:f>J18+J19</x:f>
        <x:v>-33021.23430025508</x:v>
      </x:c>
      <x:c r="K20" s="23" t="n">
        <x:f>K18+K19</x:f>
        <x:v>-23713.343943845714</x:v>
      </x:c>
      <x:c r="L20" s="23" t="n">
        <x:f>L18+L19</x:f>
        <x:v>-13529.95686190427</x:v>
      </x:c>
      <x:c r="M20" s="23" t="n">
        <x:f>M18+M19</x:f>
        <x:v>-2394.677797875949</x:v>
      </x:c>
      <x:c r="N20" s="23" t="n">
        <x:f>N18+N19</x:f>
        <x:v>9775.065221633879</x:v>
      </x:c>
      <x:c r="O20" s="23" t="n">
        <x:f>O18+O19</x:f>
        <x:v>23068.518745986803</x:v>
      </x:c>
      <x:c r="P20" s="23" t="n">
        <x:f>P18+P19</x:f>
        <x:v>37582.14162529711</x:v>
      </x:c>
      <x:c r="Q20" s="23" t="n">
        <x:f>Q18+Q19</x:f>
        <x:v>53420.18579239969</x:v>
      </x:c>
      <x:c r="R20" s="23" t="n">
        <x:f>R18+R19</x:f>
        <x:v>70695.32354886548</x:v>
      </x:c>
      <x:c r="S20" s="23" t="n">
        <x:f>S18+S19</x:f>
        <x:v>89529.32507770474</x:v>
      </x:c>
      <x:c r="T20" s="2"/>
      <x:c r="U20" s="2"/>
      <x:c r="V20" s="2"/>
      <x:c r="W20" s="2"/>
      <x:c r="X20" s="2"/>
      <x:c r="Y20" s="2"/>
      <x:c r="Z20" s="2"/>
    </x:row>
    <x:row r="21">
      <x:c r="A21" s="22" t="str">
        <x:v>Opening cash</x:v>
      </x:c>
      <x:c r="B21" s="23" t="n">
        <x:f>Assumptions!$B$8</x:f>
        <x:v>600000</x:v>
      </x:c>
      <x:c r="C21" s="23" t="n">
        <x:f>B22</x:f>
        <x:v>516569</x:v>
      </x:c>
      <x:c r="D21" s="23" t="n">
        <x:f>C22</x:f>
        <x:v>437588.375</x:v>
      </x:c>
      <x:c r="E21" s="23" t="n">
        <x:f>D22</x:f>
        <x:v>363496.0836250001</x:v>
      </x:c>
      <x:c r="F21" s="23" t="n">
        <x:f>E22</x:f>
        <x:v>294771.0862243752</x:v>
      </x:c>
      <x:c r="G21" s="23" t="n">
        <x:f>F22</x:f>
        <x:v>231936.6613952159</x:v>
      </x:c>
      <x:c r="H21" s="23" t="n">
        <x:f>G22</x:f>
        <x:v>1675563.991333383</x:v>
      </x:c>
      <x:c r="I21" s="23" t="n">
        <x:f>H22</x:f>
        <x:v>1626276.0375378982</x:v>
      </x:c>
      <x:c r="J21" s="23" t="n">
        <x:f>I22</x:f>
        <x:v>1584751.730118489</x:v>
      </x:c>
      <x:c r="K21" s="23" t="n">
        <x:f>J22</x:f>
        <x:v>1551730.4958182338</x:v>
      </x:c>
      <x:c r="L21" s="23" t="n">
        <x:f>K22</x:f>
        <x:v>1528017.151874388</x:v>
      </x:c>
      <x:c r="M21" s="23" t="n">
        <x:f>L22</x:f>
        <x:v>1514487.1950124837</x:v>
      </x:c>
      <x:c r="N21" s="23" t="n">
        <x:f>M22</x:f>
        <x:v>1512092.517214608</x:v>
      </x:c>
      <x:c r="O21" s="23" t="n">
        <x:f>N22</x:f>
        <x:v>1521867.5824362417</x:v>
      </x:c>
      <x:c r="P21" s="23" t="n">
        <x:f>O22</x:f>
        <x:v>1544936.1011822284</x:v>
      </x:c>
      <x:c r="Q21" s="23" t="n">
        <x:f>P22</x:f>
        <x:v>1582518.2428075254</x:v>
      </x:c>
      <x:c r="R21" s="23" t="n">
        <x:f>Q22</x:f>
        <x:v>1635938.4285999252</x:v>
      </x:c>
      <x:c r="S21" s="23" t="n">
        <x:f>R22</x:f>
        <x:v>1706633.7521487908</x:v>
      </x:c>
      <x:c r="T21" s="2"/>
      <x:c r="U21" s="2"/>
      <x:c r="V21" s="2"/>
      <x:c r="W21" s="2"/>
      <x:c r="X21" s="2"/>
      <x:c r="Y21" s="2"/>
      <x:c r="Z21" s="2"/>
    </x:row>
    <x:row r="22">
      <x:c r="A22" s="22" t="str">
        <x:v>Ending cash</x:v>
      </x:c>
      <x:c r="B22" s="23" t="n">
        <x:f>B21+B20</x:f>
        <x:v>516569</x:v>
      </x:c>
      <x:c r="C22" s="23" t="n">
        <x:f>C21+C20</x:f>
        <x:v>437588.375</x:v>
      </x:c>
      <x:c r="D22" s="23" t="n">
        <x:f>D21+D20</x:f>
        <x:v>363496.0836250001</x:v>
      </x:c>
      <x:c r="E22" s="23" t="n">
        <x:f>E21+E20</x:f>
        <x:v>294771.0862243752</x:v>
      </x:c>
      <x:c r="F22" s="23" t="n">
        <x:f>F21+F20</x:f>
        <x:v>231936.6613952159</x:v>
      </x:c>
      <x:c r="G22" s="23" t="n">
        <x:f>G21+G20</x:f>
        <x:v>1675563.991333383</x:v>
      </x:c>
      <x:c r="H22" s="23" t="n">
        <x:f>H21+H20</x:f>
        <x:v>1626276.0375378982</x:v>
      </x:c>
      <x:c r="I22" s="23" t="n">
        <x:f>I21+I20</x:f>
        <x:v>1584751.730118489</x:v>
      </x:c>
      <x:c r="J22" s="23" t="n">
        <x:f>J21+J20</x:f>
        <x:v>1551730.4958182338</x:v>
      </x:c>
      <x:c r="K22" s="23" t="n">
        <x:f>K21+K20</x:f>
        <x:v>1528017.151874388</x:v>
      </x:c>
      <x:c r="L22" s="23" t="n">
        <x:f>L21+L20</x:f>
        <x:v>1514487.1950124837</x:v>
      </x:c>
      <x:c r="M22" s="23" t="n">
        <x:f>M21+M20</x:f>
        <x:v>1512092.517214608</x:v>
      </x:c>
      <x:c r="N22" s="23" t="n">
        <x:f>N21+N20</x:f>
        <x:v>1521867.5824362417</x:v>
      </x:c>
      <x:c r="O22" s="23" t="n">
        <x:f>O21+O20</x:f>
        <x:v>1544936.1011822284</x:v>
      </x:c>
      <x:c r="P22" s="23" t="n">
        <x:f>P21+P20</x:f>
        <x:v>1582518.2428075254</x:v>
      </x:c>
      <x:c r="Q22" s="23" t="n">
        <x:f>Q21+Q20</x:f>
        <x:v>1635938.4285999252</x:v>
      </x:c>
      <x:c r="R22" s="23" t="n">
        <x:f>R21+R20</x:f>
        <x:v>1706633.7521487908</x:v>
      </x:c>
      <x:c r="S22" s="23" t="n">
        <x:f>S21+S20</x:f>
        <x:v>1796163.0772264954</x:v>
      </x:c>
      <x:c r="T22" s="2"/>
      <x:c r="U22" s="2"/>
      <x:c r="V22" s="2"/>
      <x:c r="W22" s="2"/>
      <x:c r="X22" s="2"/>
      <x:c r="Y22" s="2"/>
      <x:c r="Z22" s="2"/>
    </x:row>
    <x:row r="23">
      <x:c r="A23" s="22" t="str">
        <x:v>Net burn</x:v>
      </x:c>
      <x:c r="B23" s="23" t="n">
        <x:f>MAX(0,-B18)</x:f>
        <x:v>83431</x:v>
      </x:c>
      <x:c r="C23" s="23" t="n">
        <x:f>MAX(0,-C18)</x:f>
        <x:v>78980.62499999997</x:v>
      </x:c>
      <x:c r="D23" s="23" t="n">
        <x:f>MAX(0,-D18)</x:f>
        <x:v>74092.29137499994</x:v>
      </x:c>
      <x:c r="E23" s="23" t="n">
        <x:f>MAX(0,-E18)</x:f>
        <x:v>68724.99740062494</x:v>
      </x:c>
      <x:c r="F23" s="23" t="n">
        <x:f>MAX(0,-F18)</x:f>
        <x:v>62834.42482915928</x:v>
      </x:c>
      <x:c r="G23" s="23" t="n">
        <x:f>MAX(0,-G18)</x:f>
        <x:v>56372.67006183302</x:v>
      </x:c>
      <x:c r="H23" s="23" t="n">
        <x:f>MAX(0,-H18)</x:f>
        <x:v>49287.953795484646</x:v>
      </x:c>
      <x:c r="I23" s="23" t="n">
        <x:f>MAX(0,-I18)</x:f>
        <x:v>41524.30741940928</x:v>
      </x:c>
      <x:c r="J23" s="23" t="n">
        <x:f>MAX(0,-J18)</x:f>
        <x:v>33021.23430025508</x:v>
      </x:c>
      <x:c r="K23" s="23" t="n">
        <x:f>MAX(0,-K18)</x:f>
        <x:v>23713.343943845714</x:v>
      </x:c>
      <x:c r="L23" s="23" t="n">
        <x:f>MAX(0,-L18)</x:f>
        <x:v>13529.95686190427</x:v>
      </x:c>
      <x:c r="M23" s="23" t="n">
        <x:f>MAX(0,-M18)</x:f>
        <x:v>2394.677797875949</x:v>
      </x:c>
      <x:c r="N23" s="23" t="n">
        <x:f>MAX(0,-N18)</x:f>
        <x:v>0</x:v>
      </x:c>
      <x:c r="O23" s="23" t="n">
        <x:f>MAX(0,-O18)</x:f>
        <x:v>0</x:v>
      </x:c>
      <x:c r="P23" s="23" t="n">
        <x:f>MAX(0,-P18)</x:f>
        <x:v>0</x:v>
      </x:c>
      <x:c r="Q23" s="23" t="n">
        <x:f>MAX(0,-Q18)</x:f>
        <x:v>0</x:v>
      </x:c>
      <x:c r="R23" s="23" t="n">
        <x:f>MAX(0,-R18)</x:f>
        <x:v>0</x:v>
      </x:c>
      <x:c r="S23" s="23" t="n">
        <x:f>MAX(0,-S18)</x:f>
        <x:v>0</x:v>
      </x:c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</x:sheetData>
  <x:pageMargins left="0.7" right="0.7" top="0.75" bottom="0.75" header="0.3" footer="0.3"/>
</x:worksheet>
</file>